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FLT-FL-0002\GRPData\SHEF\Environmental Records\Operating Permits and Licenses (all sites)\Engines Permits\Permit Applications\Permit Application Vector 2024\Part A Permit Application Docs\Energy Assessment\Data Logging Dec 2024\"/>
    </mc:Choice>
  </mc:AlternateContent>
  <xr:revisionPtr revIDLastSave="0" documentId="13_ncr:1_{2CA0C181-6C49-431C-B405-0C2540D2253D}" xr6:coauthVersionLast="47" xr6:coauthVersionMax="47" xr10:uidLastSave="{00000000-0000-0000-0000-000000000000}"/>
  <bookViews>
    <workbookView xWindow="-120" yWindow="-120" windowWidth="29040" windowHeight="15720" activeTab="1" xr2:uid="{B64C9AA2-4385-4096-924A-A6C3A59A6CC2}"/>
  </bookViews>
  <sheets>
    <sheet name="Daily Data" sheetId="1" r:id="rId1"/>
    <sheet name="Average Data" sheetId="3" r:id="rId2"/>
    <sheet name="Electric Usage from Meters 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F17" i="3"/>
  <c r="F16" i="3"/>
  <c r="M37" i="1"/>
  <c r="M36" i="1"/>
  <c r="M34" i="1"/>
  <c r="J19" i="3"/>
  <c r="J17" i="3"/>
  <c r="J16" i="3"/>
  <c r="J15" i="3"/>
  <c r="S37" i="1"/>
  <c r="S36" i="1"/>
  <c r="S34" i="1"/>
  <c r="O36" i="1"/>
  <c r="H15" i="3" s="1"/>
  <c r="H16" i="3" s="1"/>
  <c r="H17" i="3" s="1"/>
  <c r="H19" i="3" s="1"/>
  <c r="Q36" i="1"/>
  <c r="I19" i="3"/>
  <c r="E19" i="3"/>
  <c r="C19" i="3"/>
  <c r="M33" i="1"/>
  <c r="M32" i="1"/>
  <c r="M31" i="1"/>
  <c r="M28" i="1"/>
  <c r="M27" i="1"/>
  <c r="M26" i="1"/>
  <c r="M25" i="1"/>
  <c r="M24" i="1"/>
  <c r="M21" i="1"/>
  <c r="M20" i="1"/>
  <c r="M17" i="1"/>
  <c r="M16" i="1"/>
  <c r="M13" i="1"/>
  <c r="M12" i="1"/>
  <c r="M11" i="1"/>
  <c r="M10" i="1"/>
  <c r="M9" i="1"/>
  <c r="M6" i="1"/>
  <c r="M5" i="1"/>
  <c r="M4" i="1"/>
  <c r="E17" i="3"/>
  <c r="E16" i="3"/>
  <c r="I16" i="3"/>
  <c r="I17" i="3" s="1"/>
  <c r="E15" i="3"/>
  <c r="D15" i="3"/>
  <c r="D16" i="3" s="1"/>
  <c r="D17" i="3" s="1"/>
  <c r="D19" i="3" s="1"/>
  <c r="C15" i="3"/>
  <c r="C16" i="3" s="1"/>
  <c r="C17" i="3" s="1"/>
  <c r="B15" i="3"/>
  <c r="B16" i="3" s="1"/>
  <c r="B17" i="3" s="1"/>
  <c r="B19" i="3" s="1"/>
  <c r="I36" i="1"/>
  <c r="K36" i="1"/>
  <c r="D14" i="3"/>
  <c r="C14" i="3"/>
  <c r="B14" i="3"/>
  <c r="H13" i="3"/>
  <c r="O34" i="1"/>
  <c r="I34" i="1"/>
  <c r="B13" i="3"/>
  <c r="D36" i="1"/>
  <c r="E34" i="1"/>
  <c r="G36" i="1"/>
  <c r="K33" i="1"/>
  <c r="K32" i="1"/>
  <c r="K31" i="1"/>
  <c r="K28" i="1"/>
  <c r="K27" i="1"/>
  <c r="K26" i="1"/>
  <c r="K25" i="1"/>
  <c r="K24" i="1"/>
  <c r="K21" i="1"/>
  <c r="K20" i="1"/>
  <c r="K17" i="1"/>
  <c r="K16" i="1"/>
  <c r="K13" i="1"/>
  <c r="K12" i="1"/>
  <c r="K11" i="1"/>
  <c r="K10" i="1"/>
  <c r="K9" i="1"/>
  <c r="K6" i="1"/>
  <c r="K5" i="1"/>
  <c r="K4" i="1"/>
  <c r="S33" i="1"/>
  <c r="S32" i="1"/>
  <c r="S31" i="1"/>
  <c r="S28" i="1"/>
  <c r="S27" i="1"/>
  <c r="S26" i="1"/>
  <c r="S25" i="1"/>
  <c r="S24" i="1"/>
  <c r="S21" i="1"/>
  <c r="S20" i="1"/>
  <c r="S17" i="1"/>
  <c r="S16" i="1"/>
  <c r="S13" i="1"/>
  <c r="S12" i="1"/>
  <c r="S11" i="1"/>
  <c r="S10" i="1"/>
  <c r="S9" i="1"/>
  <c r="S6" i="1"/>
  <c r="S5" i="1"/>
  <c r="S4" i="1"/>
  <c r="Q33" i="1"/>
  <c r="Q32" i="1"/>
  <c r="Q31" i="1"/>
  <c r="Q28" i="1"/>
  <c r="Q27" i="1"/>
  <c r="Q26" i="1"/>
  <c r="Q25" i="1"/>
  <c r="Q24" i="1"/>
  <c r="Q21" i="1"/>
  <c r="Q20" i="1"/>
  <c r="Q17" i="1"/>
  <c r="Q16" i="1"/>
  <c r="Q13" i="1"/>
  <c r="Q12" i="1"/>
  <c r="Q11" i="1"/>
  <c r="Q10" i="1"/>
  <c r="Q9" i="1"/>
  <c r="Q6" i="1"/>
  <c r="Q5" i="1"/>
  <c r="Q4" i="1"/>
  <c r="G33" i="1"/>
  <c r="G32" i="1"/>
  <c r="G31" i="1"/>
  <c r="G28" i="1"/>
  <c r="G27" i="1"/>
  <c r="G26" i="1"/>
  <c r="G25" i="1"/>
  <c r="G24" i="1"/>
  <c r="G21" i="1"/>
  <c r="G20" i="1"/>
  <c r="G17" i="1"/>
  <c r="G16" i="1"/>
  <c r="G13" i="1"/>
  <c r="G12" i="1"/>
  <c r="G11" i="1"/>
  <c r="G10" i="1"/>
  <c r="G9" i="1"/>
  <c r="G6" i="1"/>
  <c r="G5" i="1"/>
  <c r="G4" i="1"/>
  <c r="E33" i="1"/>
  <c r="E32" i="1"/>
  <c r="E31" i="1"/>
  <c r="E28" i="1"/>
  <c r="E27" i="1"/>
  <c r="E26" i="1"/>
  <c r="E25" i="1"/>
  <c r="E24" i="1"/>
  <c r="E21" i="1"/>
  <c r="E20" i="1"/>
  <c r="E17" i="1"/>
  <c r="E16" i="1"/>
  <c r="E11" i="1"/>
  <c r="E12" i="1"/>
  <c r="E13" i="1"/>
  <c r="E10" i="1"/>
  <c r="E9" i="1"/>
  <c r="E5" i="1"/>
  <c r="E6" i="1"/>
  <c r="E4" i="1"/>
  <c r="E5" i="7"/>
  <c r="F5" i="7" s="1"/>
  <c r="D5" i="7"/>
  <c r="E4" i="7"/>
  <c r="F4" i="7" s="1"/>
  <c r="E3" i="7"/>
  <c r="E2" i="7"/>
  <c r="F3" i="7"/>
  <c r="F2" i="7"/>
  <c r="F15" i="3" l="1"/>
  <c r="K34" i="1"/>
  <c r="G34" i="1"/>
  <c r="Q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Weston, Lian</author>
  </authors>
  <commentList>
    <comment ref="B14" authorId="0" shapeId="0" xr:uid="{7C1A8DBE-0F7D-4A3C-B012-E4C4125ECC56}">
      <text>
        <r>
          <rPr>
            <b/>
            <sz val="9"/>
            <color indexed="81"/>
            <rFont val="Tahoma"/>
            <family val="2"/>
          </rPr>
          <t xml:space="preserve">Excludes Christmas Break 
</t>
        </r>
      </text>
    </comment>
    <comment ref="C14" authorId="0" shapeId="0" xr:uid="{143C925C-B061-4580-B074-1D919A3C8C46}">
      <text>
        <r>
          <rPr>
            <b/>
            <sz val="9"/>
            <color indexed="81"/>
            <rFont val="Tahoma"/>
            <family val="2"/>
          </rPr>
          <t xml:space="preserve">Excludes Christmas Break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4" authorId="0" shapeId="0" xr:uid="{ECB3FEDD-506C-4B88-A442-F5CD861A451F}">
      <text>
        <r>
          <rPr>
            <sz val="9"/>
            <color indexed="81"/>
            <rFont val="Tahoma"/>
            <family val="2"/>
          </rPr>
          <t xml:space="preserve">Includes Christmas Break - Heating Left On
</t>
        </r>
      </text>
    </comment>
    <comment ref="E14" authorId="0" shapeId="0" xr:uid="{21A568E6-B583-48A7-8E3C-FDF3A24F1956}">
      <text>
        <r>
          <rPr>
            <b/>
            <sz val="9"/>
            <color indexed="81"/>
            <rFont val="Tahoma"/>
            <family val="2"/>
          </rPr>
          <t>Excludes Christmas Break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" authorId="0" shapeId="0" xr:uid="{0E8C390B-4EB0-46F7-B4E8-C4FB5B95EC74}">
      <text>
        <r>
          <rPr>
            <sz val="9"/>
            <color indexed="81"/>
            <rFont val="Tahoma"/>
            <family val="2"/>
          </rPr>
          <t xml:space="preserve">Includes Christmas Break - Heating Left On
</t>
        </r>
      </text>
    </comment>
    <comment ref="H14" authorId="0" shapeId="0" xr:uid="{1B4CB3B3-0162-4145-B9C4-75F5EFAB268A}">
      <text>
        <r>
          <rPr>
            <b/>
            <sz val="9"/>
            <color indexed="81"/>
            <rFont val="Tahoma"/>
            <family val="2"/>
          </rPr>
          <t>10 Working Days and Two Weekends</t>
        </r>
      </text>
    </comment>
    <comment ref="I14" authorId="0" shapeId="0" xr:uid="{4D121351-4215-415E-9654-06044462498B}">
      <text>
        <r>
          <rPr>
            <b/>
            <sz val="9"/>
            <color indexed="81"/>
            <rFont val="Tahoma"/>
            <family val="2"/>
          </rPr>
          <t xml:space="preserve">Excludes Christmas Break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4" authorId="0" shapeId="0" xr:uid="{799329FE-8CFB-45E0-8DCE-02FFE73A65AB}">
      <text>
        <r>
          <rPr>
            <b/>
            <sz val="9"/>
            <color indexed="81"/>
            <rFont val="Tahoma"/>
            <family val="2"/>
          </rPr>
          <t xml:space="preserve">Excludes Christmas Break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<sst xmlns="http://schemas.openxmlformats.org/spreadsheetml/2006/main" count="190" uniqueCount="88">
  <si>
    <t>B97 ETP</t>
  </si>
  <si>
    <t xml:space="preserve">Boilerhouse </t>
  </si>
  <si>
    <t xml:space="preserve">B110 Cleaning Bay </t>
  </si>
  <si>
    <t>10.12.24</t>
  </si>
  <si>
    <t>11.12.24</t>
  </si>
  <si>
    <t>12.12.24</t>
  </si>
  <si>
    <t>13.12.24</t>
  </si>
  <si>
    <t>16.12.24</t>
  </si>
  <si>
    <t>Electric (kwh)</t>
  </si>
  <si>
    <t>Water (M³)</t>
  </si>
  <si>
    <t xml:space="preserve">Data being collected </t>
  </si>
  <si>
    <t>17.12.24</t>
  </si>
  <si>
    <t>18.12.24</t>
  </si>
  <si>
    <t>19.12.24</t>
  </si>
  <si>
    <t>20.12.24</t>
  </si>
  <si>
    <t>23.12.24</t>
  </si>
  <si>
    <t>24.12.24</t>
  </si>
  <si>
    <t xml:space="preserve">Starting Figure </t>
  </si>
  <si>
    <t xml:space="preserve">Closing Figure </t>
  </si>
  <si>
    <t xml:space="preserve">Total Used </t>
  </si>
  <si>
    <t xml:space="preserve">Weekly Average </t>
  </si>
  <si>
    <t xml:space="preserve">Daily Average </t>
  </si>
  <si>
    <t>Data collected between 10/12/24 - 15/01/25 (No data between 25/12/24 - 01/01/25)</t>
  </si>
  <si>
    <t>16.12.24 - 03.01.25</t>
  </si>
  <si>
    <t xml:space="preserve">BoilerHouse </t>
  </si>
  <si>
    <t>B110 Cleaning Bay</t>
  </si>
  <si>
    <t>B118 Cleaning Bay</t>
  </si>
  <si>
    <t>10.12.24 - 16.12.24</t>
  </si>
  <si>
    <t>03.01.24 - 15.01.25</t>
  </si>
  <si>
    <t>Total Used kwh</t>
  </si>
  <si>
    <t>Total's</t>
  </si>
  <si>
    <t>02.01.25</t>
  </si>
  <si>
    <t>03.01.25</t>
  </si>
  <si>
    <t>06.01.25</t>
  </si>
  <si>
    <t>07.01.25</t>
  </si>
  <si>
    <t>08.01.25</t>
  </si>
  <si>
    <t>09.01.25</t>
  </si>
  <si>
    <t>10.01.25</t>
  </si>
  <si>
    <t>13.01.25</t>
  </si>
  <si>
    <t>14.01.25</t>
  </si>
  <si>
    <t>15.01.25</t>
  </si>
  <si>
    <t xml:space="preserve">Total </t>
  </si>
  <si>
    <t xml:space="preserve">B135 Boilerhouse </t>
  </si>
  <si>
    <t>14.12.24</t>
  </si>
  <si>
    <t>15.12.24</t>
  </si>
  <si>
    <t>21.12.24</t>
  </si>
  <si>
    <t>22.12.24</t>
  </si>
  <si>
    <t>Christmas Break - No readings taken</t>
  </si>
  <si>
    <t>04.01.25</t>
  </si>
  <si>
    <t>05.01.25</t>
  </si>
  <si>
    <t>Weekend - No readings Taken</t>
  </si>
  <si>
    <t>11.01.25</t>
  </si>
  <si>
    <t>12.01.25</t>
  </si>
  <si>
    <t>25.12.24 to 01.01.25</t>
  </si>
  <si>
    <t>Average per day (37 Days Total)</t>
  </si>
  <si>
    <t>Units in Kwh</t>
  </si>
  <si>
    <t>Date</t>
  </si>
  <si>
    <t>15,909.56 Kwh</t>
  </si>
  <si>
    <t>Tue</t>
  </si>
  <si>
    <t>Wed</t>
  </si>
  <si>
    <t>Fri</t>
  </si>
  <si>
    <t>Sat</t>
  </si>
  <si>
    <t>Sun</t>
  </si>
  <si>
    <t>Mon</t>
  </si>
  <si>
    <t>Thur</t>
  </si>
  <si>
    <t xml:space="preserve">Data Logger Readings </t>
  </si>
  <si>
    <t>Average Daily Demand</t>
  </si>
  <si>
    <t>Demand  (Kwh)</t>
  </si>
  <si>
    <t>Electric Read  (kwh)</t>
  </si>
  <si>
    <t>Water (M³) Read</t>
  </si>
  <si>
    <t xml:space="preserve"> No of Days in Monitoring period </t>
  </si>
  <si>
    <t>Excluding the christmas break</t>
  </si>
  <si>
    <t>KWh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</si>
  <si>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</si>
  <si>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Demand 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</si>
  <si>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Water Read (m³)</t>
  </si>
  <si>
    <r>
      <t>Waster Demand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</si>
  <si>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Gas Read (m³)</t>
  </si>
  <si>
    <r>
      <t>Gas Demand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</si>
  <si>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 xml:space="preserve"> Demand (KWh)</t>
  </si>
  <si>
    <t xml:space="preserve">14 Days </t>
  </si>
  <si>
    <t xml:space="preserve">KWh </t>
  </si>
  <si>
    <t xml:space="preserve">Annual Average </t>
  </si>
  <si>
    <t xml:space="preserve">Mean Demand by Area </t>
  </si>
  <si>
    <t>Gas</t>
  </si>
  <si>
    <t xml:space="preserve">Note: MRF demand omitted. Minimal lighting units only, negligible demand. Site unable to impact on metrics with further reductions.  </t>
  </si>
  <si>
    <t xml:space="preserve">Annual Cost £
* Market Rate  </t>
  </si>
  <si>
    <t xml:space="preserve">Days Measured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</si>
</sst>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0.00;[Red]0.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14" fontId="3" fillId="5" borderId="5" xfId="0" applyNumberFormat="1" applyFont="1" applyFill="1" applyBorder="1" applyAlignment="1">
      <alignment horizontal="center" vertical="center"/>
    </xf>
    <xf numFmtId="14" fontId="3" fillId="5" borderId="7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NumberForma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right"/>
    </xf>
    <xf numFmtId="2" fontId="0" fillId="0" borderId="0" xfId="0" applyNumberForma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3" fontId="0" fillId="7" borderId="1" xfId="0" applyNumberFormat="1" applyFill="1" applyBorder="1" applyAlignment="1">
      <alignment horizontal="center" vertical="center"/>
    </xf>
    <xf numFmtId="0" fontId="0" fillId="7" borderId="1" xfId="0" applyNumberFormat="1" applyFill="1" applyBorder="1" applyAlignment="1">
      <alignment horizontal="center" vertical="center"/>
    </xf>
    <xf numFmtId="4" fontId="0" fillId="7" borderId="1" xfId="0" applyNumberFormat="1" applyFont="1" applyFill="1" applyBorder="1" applyAlignment="1">
      <alignment horizontal="center" vertical="center" wrapText="1"/>
    </xf>
    <xf numFmtId="3" fontId="0" fillId="7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7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/>
    </xf>
    <xf numFmtId="14" fontId="5" fillId="6" borderId="0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190500</xdr:rowOff>
    </xdr:from>
    <xdr:to>
      <xdr:col>1</xdr:col>
      <xdr:colOff>152400</xdr:colOff>
      <xdr:row>1</xdr:row>
      <xdr:rowOff>314325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7838D3A-2DBB-4D20-AC21-96460DD2649B}"/>
            </a:ext>
          </a:extLst>
        </xdr:cNvPr>
        <xdr:cNvSpPr/>
      </xdr:nvSpPr>
      <xdr:spPr>
        <a:xfrm>
          <a:off x="342900" y="514350"/>
          <a:ext cx="247650" cy="123825"/>
        </a:xfrm>
        <a:prstGeom prst="rect">
          <a:avLst/>
        </a:prstGeom>
        <a:solidFill>
          <a:srgbClr val="00B050"/>
        </a:solidFill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190500</xdr:colOff>
      <xdr:row>1</xdr:row>
      <xdr:rowOff>152399</xdr:rowOff>
    </xdr:from>
    <xdr:to>
      <xdr:col>2</xdr:col>
      <xdr:colOff>704850</xdr:colOff>
      <xdr:row>1</xdr:row>
      <xdr:rowOff>352424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16FFE1E-D7FC-4BE0-84C0-B2ECDC697434}"/>
            </a:ext>
          </a:extLst>
        </xdr:cNvPr>
        <xdr:cNvSpPr txBox="1"/>
      </xdr:nvSpPr>
      <xdr:spPr>
        <a:xfrm>
          <a:off x="628650" y="476249"/>
          <a:ext cx="1162050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= Dates Read</a:t>
          </a:r>
          <a:r>
            <a:rPr lang="en-GB" sz="1100" baseline="0"/>
            <a:t> 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AF352-5358-483F-BA1E-0F86306A9B3C}">
  <sheetPr>
    <pageSetUpPr fitToPage="1"/>
  </sheetPr>
  <dimension ref="A1:T37"/>
  <sheetViews>
    <sheetView topLeftCell="G4" workbookViewId="0">
      <selection activeCell="M37" sqref="M37"/>
    </sheetView>
  </sheetViews>
  <sheetFormatPr defaultRowHeight="15" x14ac:dyDescent="0.25"/>
  <cols>
    <col min="1" max="1" width="6.5703125" customWidth="1"/>
    <col min="2" max="2" width="9.7109375" customWidth="1"/>
    <col min="3" max="3" width="14.85546875" customWidth="1"/>
    <col min="4" max="4" width="16.7109375" customWidth="1"/>
    <col min="5" max="5" width="13.7109375" customWidth="1"/>
    <col min="6" max="6" width="14.42578125" customWidth="1"/>
    <col min="7" max="7" width="13.7109375" customWidth="1"/>
    <col min="8" max="8" width="23.7109375" customWidth="1"/>
    <col min="9" max="9" width="13.42578125" customWidth="1"/>
    <col min="10" max="10" width="14.140625" customWidth="1"/>
    <col min="11" max="11" width="13.7109375" customWidth="1"/>
    <col min="12" max="12" width="25" customWidth="1"/>
    <col min="13" max="13" width="13.7109375" customWidth="1"/>
    <col min="14" max="14" width="22.85546875" customWidth="1"/>
    <col min="15" max="15" width="13.42578125" customWidth="1"/>
    <col min="16" max="16" width="15" customWidth="1"/>
    <col min="17" max="17" width="13.7109375" customWidth="1"/>
    <col min="18" max="18" width="16.85546875" customWidth="1"/>
    <col min="19" max="19" width="13.7109375" customWidth="1"/>
  </cols>
  <sheetData>
    <row r="1" spans="1:19" ht="25.5" customHeight="1" x14ac:dyDescent="0.25">
      <c r="A1" s="82" t="s">
        <v>65</v>
      </c>
      <c r="B1" s="82"/>
      <c r="C1" s="83"/>
      <c r="D1" s="86" t="s">
        <v>0</v>
      </c>
      <c r="E1" s="87"/>
      <c r="F1" s="87"/>
      <c r="G1" s="88"/>
      <c r="H1" s="72" t="s">
        <v>42</v>
      </c>
      <c r="I1" s="73"/>
      <c r="J1" s="73"/>
      <c r="K1" s="73"/>
      <c r="L1" s="73"/>
      <c r="M1" s="74"/>
      <c r="N1" s="69" t="s">
        <v>2</v>
      </c>
      <c r="O1" s="70"/>
      <c r="P1" s="70"/>
      <c r="Q1" s="70"/>
      <c r="R1" s="70"/>
      <c r="S1" s="71"/>
    </row>
    <row r="2" spans="1:19" ht="32.25" x14ac:dyDescent="0.25">
      <c r="A2" s="84"/>
      <c r="B2" s="84"/>
      <c r="C2" s="85"/>
      <c r="D2" s="15" t="s">
        <v>68</v>
      </c>
      <c r="E2" s="23" t="s">
        <v>67</v>
      </c>
      <c r="F2" s="15" t="s">
        <v>69</v>
      </c>
      <c r="G2" s="23" t="s">
        <v>74</v>
      </c>
      <c r="H2" s="16" t="s">
        <v>8</v>
      </c>
      <c r="I2" s="25" t="s">
        <v>79</v>
      </c>
      <c r="J2" s="16" t="s">
        <v>75</v>
      </c>
      <c r="K2" s="25" t="s">
        <v>76</v>
      </c>
      <c r="L2" s="16" t="s">
        <v>77</v>
      </c>
      <c r="M2" s="25" t="s">
        <v>78</v>
      </c>
      <c r="N2" s="17" t="s">
        <v>8</v>
      </c>
      <c r="O2" s="24" t="s">
        <v>79</v>
      </c>
      <c r="P2" s="17" t="s">
        <v>75</v>
      </c>
      <c r="Q2" s="24" t="s">
        <v>76</v>
      </c>
      <c r="R2" s="17" t="s">
        <v>77</v>
      </c>
      <c r="S2" s="24" t="s">
        <v>78</v>
      </c>
    </row>
    <row r="3" spans="1:19" x14ac:dyDescent="0.25">
      <c r="A3" s="75" t="s">
        <v>56</v>
      </c>
      <c r="B3" s="19" t="s">
        <v>3</v>
      </c>
      <c r="C3" s="19" t="s">
        <v>58</v>
      </c>
      <c r="D3" s="38">
        <v>185787</v>
      </c>
      <c r="E3" s="1"/>
      <c r="F3" s="40">
        <v>89640</v>
      </c>
      <c r="G3" s="1"/>
      <c r="H3" s="38" t="s">
        <v>10</v>
      </c>
      <c r="I3" s="38"/>
      <c r="J3" s="38">
        <v>17623</v>
      </c>
      <c r="K3" s="1"/>
      <c r="L3" s="38">
        <v>5362391</v>
      </c>
      <c r="M3" s="1"/>
      <c r="N3" s="38" t="s">
        <v>10</v>
      </c>
      <c r="O3" s="38"/>
      <c r="P3" s="38">
        <v>31083</v>
      </c>
      <c r="Q3" s="1"/>
      <c r="R3" s="38">
        <v>2370517</v>
      </c>
      <c r="S3" s="1"/>
    </row>
    <row r="4" spans="1:19" x14ac:dyDescent="0.25">
      <c r="A4" s="75"/>
      <c r="B4" s="19" t="s">
        <v>4</v>
      </c>
      <c r="C4" s="19" t="s">
        <v>59</v>
      </c>
      <c r="D4" s="38">
        <v>185928</v>
      </c>
      <c r="E4" s="1">
        <f>SUM(D4-D3)</f>
        <v>141</v>
      </c>
      <c r="F4" s="38">
        <v>89671</v>
      </c>
      <c r="G4" s="1">
        <f>SUM(F4-F3)</f>
        <v>31</v>
      </c>
      <c r="H4" s="38" t="s">
        <v>10</v>
      </c>
      <c r="I4" s="38"/>
      <c r="J4" s="38">
        <v>17623</v>
      </c>
      <c r="K4" s="1">
        <f>SUM(J4-J3)</f>
        <v>0</v>
      </c>
      <c r="L4" s="38">
        <v>5365507</v>
      </c>
      <c r="M4" s="1">
        <f>SUM(L4-L3)</f>
        <v>3116</v>
      </c>
      <c r="N4" s="38" t="s">
        <v>10</v>
      </c>
      <c r="O4" s="38"/>
      <c r="P4" s="38">
        <v>31089</v>
      </c>
      <c r="Q4" s="1">
        <f>SUM(P4-P3)</f>
        <v>6</v>
      </c>
      <c r="R4" s="38">
        <v>2370945</v>
      </c>
      <c r="S4" s="1">
        <f>SUM(R4-R3)</f>
        <v>428</v>
      </c>
    </row>
    <row r="5" spans="1:19" x14ac:dyDescent="0.25">
      <c r="A5" s="75"/>
      <c r="B5" s="19" t="s">
        <v>5</v>
      </c>
      <c r="C5" s="19" t="s">
        <v>64</v>
      </c>
      <c r="D5" s="38">
        <v>186042</v>
      </c>
      <c r="E5" s="1">
        <f t="shared" ref="E5:G6" si="0">SUM(D5-D4)</f>
        <v>114</v>
      </c>
      <c r="F5" s="41">
        <v>89699</v>
      </c>
      <c r="G5" s="1">
        <f t="shared" si="0"/>
        <v>28</v>
      </c>
      <c r="H5" s="38" t="s">
        <v>10</v>
      </c>
      <c r="I5" s="38"/>
      <c r="J5" s="38">
        <v>17623</v>
      </c>
      <c r="K5" s="1">
        <f t="shared" ref="K5" si="1">SUM(J5-J4)</f>
        <v>0</v>
      </c>
      <c r="L5" s="38">
        <v>5369588</v>
      </c>
      <c r="M5" s="1">
        <f>SUM(L5-L4)</f>
        <v>4081</v>
      </c>
      <c r="N5" s="38" t="s">
        <v>10</v>
      </c>
      <c r="O5" s="38"/>
      <c r="P5" s="38">
        <v>31090</v>
      </c>
      <c r="Q5" s="1">
        <f t="shared" ref="Q5:S5" si="2">SUM(P5-P4)</f>
        <v>1</v>
      </c>
      <c r="R5" s="38">
        <v>2371317</v>
      </c>
      <c r="S5" s="1">
        <f t="shared" si="2"/>
        <v>372</v>
      </c>
    </row>
    <row r="6" spans="1:19" x14ac:dyDescent="0.25">
      <c r="A6" s="75"/>
      <c r="B6" s="19" t="s">
        <v>6</v>
      </c>
      <c r="C6" s="19" t="s">
        <v>60</v>
      </c>
      <c r="D6" s="38">
        <v>186181</v>
      </c>
      <c r="E6" s="1">
        <f t="shared" si="0"/>
        <v>139</v>
      </c>
      <c r="F6" s="38">
        <v>89734</v>
      </c>
      <c r="G6" s="1">
        <f t="shared" si="0"/>
        <v>35</v>
      </c>
      <c r="H6" s="38" t="s">
        <v>10</v>
      </c>
      <c r="I6" s="38"/>
      <c r="J6" s="38">
        <v>17623</v>
      </c>
      <c r="K6" s="1">
        <f t="shared" ref="K6" si="3">SUM(J6-J5)</f>
        <v>0</v>
      </c>
      <c r="L6" s="38">
        <v>5372775</v>
      </c>
      <c r="M6" s="1">
        <f>SUM(L6-L5)</f>
        <v>3187</v>
      </c>
      <c r="N6" s="38" t="s">
        <v>10</v>
      </c>
      <c r="O6" s="38"/>
      <c r="P6" s="38">
        <v>31092</v>
      </c>
      <c r="Q6" s="1">
        <f t="shared" ref="Q6:S6" si="4">SUM(P6-P5)</f>
        <v>2</v>
      </c>
      <c r="R6" s="38">
        <v>2371947</v>
      </c>
      <c r="S6" s="1">
        <f t="shared" si="4"/>
        <v>630</v>
      </c>
    </row>
    <row r="7" spans="1:19" x14ac:dyDescent="0.25">
      <c r="A7" s="75"/>
      <c r="B7" s="19" t="s">
        <v>43</v>
      </c>
      <c r="C7" s="28" t="s">
        <v>61</v>
      </c>
      <c r="D7" s="76" t="s">
        <v>50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19" x14ac:dyDescent="0.25">
      <c r="A8" s="75"/>
      <c r="B8" s="19" t="s">
        <v>44</v>
      </c>
      <c r="C8" s="29" t="s">
        <v>62</v>
      </c>
      <c r="D8" s="78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x14ac:dyDescent="0.25">
      <c r="A9" s="75"/>
      <c r="B9" s="19" t="s">
        <v>7</v>
      </c>
      <c r="C9" s="19" t="s">
        <v>63</v>
      </c>
      <c r="D9" s="38">
        <v>186388</v>
      </c>
      <c r="E9" s="1">
        <f>SUM(D9-D6)</f>
        <v>207</v>
      </c>
      <c r="F9" s="38">
        <v>89752</v>
      </c>
      <c r="G9" s="1">
        <f>SUM(F9-F6)</f>
        <v>18</v>
      </c>
      <c r="H9" s="38" t="s">
        <v>10</v>
      </c>
      <c r="I9" s="38">
        <v>2568.5700000000002</v>
      </c>
      <c r="J9" s="38">
        <v>17625</v>
      </c>
      <c r="K9" s="1">
        <f>SUM(J9-J6)</f>
        <v>2</v>
      </c>
      <c r="L9" s="38">
        <v>5382136</v>
      </c>
      <c r="M9" s="1">
        <f>SUM(L9-L6)</f>
        <v>9361</v>
      </c>
      <c r="N9" s="38" t="s">
        <v>10</v>
      </c>
      <c r="O9" s="38">
        <v>15310.72</v>
      </c>
      <c r="P9" s="38">
        <v>31098</v>
      </c>
      <c r="Q9" s="1">
        <f>SUM(P9-P6)</f>
        <v>6</v>
      </c>
      <c r="R9" s="38">
        <v>2372253</v>
      </c>
      <c r="S9" s="1">
        <f>SUM(R9-R6)</f>
        <v>306</v>
      </c>
    </row>
    <row r="10" spans="1:19" x14ac:dyDescent="0.25">
      <c r="A10" s="75"/>
      <c r="B10" s="19" t="s">
        <v>11</v>
      </c>
      <c r="C10" s="19" t="s">
        <v>58</v>
      </c>
      <c r="D10" s="38">
        <v>186522</v>
      </c>
      <c r="E10" s="1">
        <f>SUM(D10-D9)</f>
        <v>134</v>
      </c>
      <c r="F10" s="40">
        <v>89784</v>
      </c>
      <c r="G10" s="1">
        <f>SUM(F10-F9)</f>
        <v>32</v>
      </c>
      <c r="H10" s="39" t="s">
        <v>10</v>
      </c>
      <c r="I10" s="39"/>
      <c r="J10" s="38">
        <v>17625</v>
      </c>
      <c r="K10" s="1">
        <f>SUM(J10-J9)</f>
        <v>0</v>
      </c>
      <c r="L10" s="38">
        <v>5384730</v>
      </c>
      <c r="M10" s="1">
        <f>SUM(L10-L9)</f>
        <v>2594</v>
      </c>
      <c r="N10" s="5" t="s">
        <v>10</v>
      </c>
      <c r="O10" s="42"/>
      <c r="P10" s="38">
        <v>31101</v>
      </c>
      <c r="Q10" s="1">
        <f>SUM(P10-P9)</f>
        <v>3</v>
      </c>
      <c r="R10" s="38">
        <v>2372827</v>
      </c>
      <c r="S10" s="1">
        <f>SUM(R10-R9)</f>
        <v>574</v>
      </c>
    </row>
    <row r="11" spans="1:19" x14ac:dyDescent="0.25">
      <c r="A11" s="75"/>
      <c r="B11" s="19" t="s">
        <v>12</v>
      </c>
      <c r="C11" s="19" t="s">
        <v>59</v>
      </c>
      <c r="D11" s="38">
        <v>186697</v>
      </c>
      <c r="E11" s="1">
        <f>SUM(D11-D10)</f>
        <v>175</v>
      </c>
      <c r="F11" s="38">
        <v>89831</v>
      </c>
      <c r="G11" s="1">
        <f>SUM(F11-F10)</f>
        <v>47</v>
      </c>
      <c r="H11" s="39" t="s">
        <v>10</v>
      </c>
      <c r="I11" s="39"/>
      <c r="J11" s="38">
        <v>17634</v>
      </c>
      <c r="K11" s="1">
        <f>SUM(J11-J10)</f>
        <v>9</v>
      </c>
      <c r="L11" s="38">
        <v>5388020</v>
      </c>
      <c r="M11" s="1">
        <f>SUM(L11-L10)</f>
        <v>3290</v>
      </c>
      <c r="N11" s="5" t="s">
        <v>10</v>
      </c>
      <c r="O11" s="42"/>
      <c r="P11" s="38">
        <v>31105</v>
      </c>
      <c r="Q11" s="1">
        <f>SUM(P11-P10)</f>
        <v>4</v>
      </c>
      <c r="R11" s="38">
        <v>2373472</v>
      </c>
      <c r="S11" s="1">
        <f>SUM(R11-R10)</f>
        <v>645</v>
      </c>
    </row>
    <row r="12" spans="1:19" x14ac:dyDescent="0.25">
      <c r="A12" s="75"/>
      <c r="B12" s="19" t="s">
        <v>13</v>
      </c>
      <c r="C12" s="19" t="s">
        <v>64</v>
      </c>
      <c r="D12" s="38">
        <v>186772</v>
      </c>
      <c r="E12" s="1">
        <f t="shared" ref="E12:G13" si="5">SUM(D12-D11)</f>
        <v>75</v>
      </c>
      <c r="F12" s="41">
        <v>89845</v>
      </c>
      <c r="G12" s="1">
        <f t="shared" si="5"/>
        <v>14</v>
      </c>
      <c r="H12" s="39" t="s">
        <v>10</v>
      </c>
      <c r="I12" s="39"/>
      <c r="J12" s="38">
        <v>17634</v>
      </c>
      <c r="K12" s="1">
        <f t="shared" ref="K12" si="6">SUM(J12-J11)</f>
        <v>0</v>
      </c>
      <c r="L12" s="38">
        <v>5390439</v>
      </c>
      <c r="M12" s="1">
        <f>SUM(L12-L11)</f>
        <v>2419</v>
      </c>
      <c r="N12" s="5" t="s">
        <v>10</v>
      </c>
      <c r="O12" s="42"/>
      <c r="P12" s="38">
        <v>31106</v>
      </c>
      <c r="Q12" s="1">
        <f t="shared" ref="Q12:S12" si="7">SUM(P12-P11)</f>
        <v>1</v>
      </c>
      <c r="R12" s="38">
        <v>2373702</v>
      </c>
      <c r="S12" s="1">
        <f t="shared" si="7"/>
        <v>230</v>
      </c>
    </row>
    <row r="13" spans="1:19" x14ac:dyDescent="0.25">
      <c r="A13" s="75"/>
      <c r="B13" s="19" t="s">
        <v>14</v>
      </c>
      <c r="C13" s="19" t="s">
        <v>60</v>
      </c>
      <c r="D13" s="38">
        <v>186870</v>
      </c>
      <c r="E13" s="1">
        <f t="shared" si="5"/>
        <v>98</v>
      </c>
      <c r="F13" s="38">
        <v>89869</v>
      </c>
      <c r="G13" s="1">
        <f t="shared" si="5"/>
        <v>24</v>
      </c>
      <c r="H13" s="39" t="s">
        <v>10</v>
      </c>
      <c r="I13" s="39"/>
      <c r="J13" s="38">
        <v>17637</v>
      </c>
      <c r="K13" s="1">
        <f t="shared" ref="K13" si="8">SUM(J13-J12)</f>
        <v>3</v>
      </c>
      <c r="L13" s="38">
        <v>5394685</v>
      </c>
      <c r="M13" s="1">
        <f>SUM(L13-L12)</f>
        <v>4246</v>
      </c>
      <c r="N13" s="5" t="s">
        <v>10</v>
      </c>
      <c r="O13" s="42"/>
      <c r="P13" s="38">
        <v>31114</v>
      </c>
      <c r="Q13" s="1">
        <f t="shared" ref="Q13:S13" si="9">SUM(P13-P12)</f>
        <v>8</v>
      </c>
      <c r="R13" s="38">
        <v>2373962</v>
      </c>
      <c r="S13" s="1">
        <f t="shared" si="9"/>
        <v>260</v>
      </c>
    </row>
    <row r="14" spans="1:19" x14ac:dyDescent="0.25">
      <c r="A14" s="75"/>
      <c r="B14" s="19" t="s">
        <v>45</v>
      </c>
      <c r="C14" s="28"/>
      <c r="D14" s="76" t="s">
        <v>50</v>
      </c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</row>
    <row r="15" spans="1:19" x14ac:dyDescent="0.25">
      <c r="A15" s="75"/>
      <c r="B15" s="19" t="s">
        <v>46</v>
      </c>
      <c r="C15" s="29"/>
      <c r="D15" s="78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</row>
    <row r="16" spans="1:19" x14ac:dyDescent="0.25">
      <c r="A16" s="75"/>
      <c r="B16" s="19" t="s">
        <v>15</v>
      </c>
      <c r="C16" s="19" t="s">
        <v>63</v>
      </c>
      <c r="D16" s="38">
        <v>187082</v>
      </c>
      <c r="E16" s="1">
        <f>SUM(D16-D13)</f>
        <v>212</v>
      </c>
      <c r="F16" s="38">
        <v>89882</v>
      </c>
      <c r="G16" s="1">
        <f>SUM(F16-F13)</f>
        <v>13</v>
      </c>
      <c r="H16" s="39" t="s">
        <v>10</v>
      </c>
      <c r="I16" s="39"/>
      <c r="J16" s="38">
        <v>17637</v>
      </c>
      <c r="K16" s="1">
        <f>SUM(J16-J13)</f>
        <v>0</v>
      </c>
      <c r="L16" s="38">
        <v>5403318</v>
      </c>
      <c r="M16" s="1">
        <f>SUM(L16-L13)</f>
        <v>8633</v>
      </c>
      <c r="N16" s="5" t="s">
        <v>10</v>
      </c>
      <c r="O16" s="42"/>
      <c r="P16" s="38">
        <v>31121</v>
      </c>
      <c r="Q16" s="1">
        <f>SUM(P16-P13)</f>
        <v>7</v>
      </c>
      <c r="R16" s="38">
        <v>2374456</v>
      </c>
      <c r="S16" s="1">
        <f>SUM(R16-R13)</f>
        <v>494</v>
      </c>
    </row>
    <row r="17" spans="1:19" x14ac:dyDescent="0.25">
      <c r="A17" s="75"/>
      <c r="B17" s="19" t="s">
        <v>16</v>
      </c>
      <c r="C17" s="19" t="s">
        <v>58</v>
      </c>
      <c r="D17" s="38">
        <v>187199</v>
      </c>
      <c r="E17" s="1">
        <f>SUM(D17-D16)</f>
        <v>117</v>
      </c>
      <c r="F17" s="38">
        <v>89905</v>
      </c>
      <c r="G17" s="1">
        <f>SUM(F17-F16)</f>
        <v>23</v>
      </c>
      <c r="H17" s="39" t="s">
        <v>10</v>
      </c>
      <c r="I17" s="39"/>
      <c r="J17" s="38">
        <v>17639</v>
      </c>
      <c r="K17" s="1">
        <f>SUM(J17-J16)</f>
        <v>2</v>
      </c>
      <c r="L17" s="38">
        <v>5406278</v>
      </c>
      <c r="M17" s="1">
        <f>SUM(L17-L16)</f>
        <v>2960</v>
      </c>
      <c r="N17" s="5" t="s">
        <v>10</v>
      </c>
      <c r="O17" s="42"/>
      <c r="P17" s="38">
        <v>31127</v>
      </c>
      <c r="Q17" s="1">
        <f>SUM(P17-P16)</f>
        <v>6</v>
      </c>
      <c r="R17" s="38">
        <v>2374750</v>
      </c>
      <c r="S17" s="1">
        <f>SUM(R17-R16)</f>
        <v>294</v>
      </c>
    </row>
    <row r="18" spans="1:19" x14ac:dyDescent="0.25">
      <c r="A18" s="75"/>
      <c r="B18" s="80" t="s">
        <v>53</v>
      </c>
      <c r="C18" s="30"/>
      <c r="D18" s="76" t="s">
        <v>47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</row>
    <row r="19" spans="1:19" ht="33" customHeight="1" x14ac:dyDescent="0.25">
      <c r="A19" s="75"/>
      <c r="B19" s="81"/>
      <c r="C19" s="31"/>
      <c r="D19" s="78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19" x14ac:dyDescent="0.25">
      <c r="A20" s="75"/>
      <c r="B20" s="20" t="s">
        <v>31</v>
      </c>
      <c r="C20" s="20" t="s">
        <v>64</v>
      </c>
      <c r="D20" s="38">
        <v>187770</v>
      </c>
      <c r="E20" s="1">
        <f>SUM(D20-D17)</f>
        <v>571</v>
      </c>
      <c r="F20" s="40">
        <v>89914</v>
      </c>
      <c r="G20" s="1">
        <f>SUM(F20-F17)</f>
        <v>9</v>
      </c>
      <c r="H20" s="39" t="s">
        <v>10</v>
      </c>
      <c r="I20" s="39">
        <v>7893.48</v>
      </c>
      <c r="J20" s="38">
        <v>17641</v>
      </c>
      <c r="K20" s="1">
        <f>SUM(J20-J17)</f>
        <v>2</v>
      </c>
      <c r="L20" s="38">
        <v>5430246</v>
      </c>
      <c r="M20" s="1">
        <f>SUM(L20-L17)</f>
        <v>23968</v>
      </c>
      <c r="N20" s="5" t="s">
        <v>10</v>
      </c>
      <c r="O20" s="42"/>
      <c r="P20" s="38">
        <v>31129</v>
      </c>
      <c r="Q20" s="1">
        <f>SUM(P20-P17)</f>
        <v>2</v>
      </c>
      <c r="R20" s="38">
        <v>2374764</v>
      </c>
      <c r="S20" s="1">
        <f>SUM(R20-R17)</f>
        <v>14</v>
      </c>
    </row>
    <row r="21" spans="1:19" x14ac:dyDescent="0.25">
      <c r="A21" s="75"/>
      <c r="B21" s="20" t="s">
        <v>32</v>
      </c>
      <c r="C21" s="20" t="s">
        <v>60</v>
      </c>
      <c r="D21" s="38">
        <v>187851</v>
      </c>
      <c r="E21" s="1">
        <f>SUM(D21-D20)</f>
        <v>81</v>
      </c>
      <c r="F21" s="38">
        <v>89915</v>
      </c>
      <c r="G21" s="1">
        <f>SUM(F21-F20)</f>
        <v>1</v>
      </c>
      <c r="H21" s="39" t="s">
        <v>10</v>
      </c>
      <c r="I21" s="39"/>
      <c r="J21" s="38">
        <v>17641</v>
      </c>
      <c r="K21" s="1">
        <f>SUM(J21-J20)</f>
        <v>0</v>
      </c>
      <c r="L21" s="38">
        <v>5435320</v>
      </c>
      <c r="M21" s="1">
        <f>SUM(L21-L20)</f>
        <v>5074</v>
      </c>
      <c r="N21" s="39" t="s">
        <v>10</v>
      </c>
      <c r="O21" s="39"/>
      <c r="P21" s="38">
        <v>31129</v>
      </c>
      <c r="Q21" s="1">
        <f>SUM(P21-P20)</f>
        <v>0</v>
      </c>
      <c r="R21" s="38">
        <v>2374764</v>
      </c>
      <c r="S21" s="1">
        <f>SUM(R21-R20)</f>
        <v>0</v>
      </c>
    </row>
    <row r="22" spans="1:19" x14ac:dyDescent="0.25">
      <c r="A22" s="75"/>
      <c r="B22" s="20" t="s">
        <v>48</v>
      </c>
      <c r="C22" s="32" t="s">
        <v>61</v>
      </c>
      <c r="D22" s="76" t="s">
        <v>50</v>
      </c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</row>
    <row r="23" spans="1:19" x14ac:dyDescent="0.25">
      <c r="A23" s="75"/>
      <c r="B23" s="20" t="s">
        <v>49</v>
      </c>
      <c r="C23" s="33" t="s">
        <v>62</v>
      </c>
      <c r="D23" s="78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</row>
    <row r="24" spans="1:19" x14ac:dyDescent="0.25">
      <c r="A24" s="75"/>
      <c r="B24" s="20" t="s">
        <v>33</v>
      </c>
      <c r="C24" s="19" t="s">
        <v>63</v>
      </c>
      <c r="D24" s="38">
        <v>188099</v>
      </c>
      <c r="E24" s="1">
        <f>SUM(D24-D21)</f>
        <v>248</v>
      </c>
      <c r="F24" s="41">
        <v>89924</v>
      </c>
      <c r="G24" s="1">
        <f>SUM(F24-F21)</f>
        <v>9</v>
      </c>
      <c r="H24" s="39" t="s">
        <v>10</v>
      </c>
      <c r="I24" s="39"/>
      <c r="J24" s="38">
        <v>17649</v>
      </c>
      <c r="K24" s="1">
        <f>SUM(J24-J21)</f>
        <v>8</v>
      </c>
      <c r="L24" s="38">
        <v>5446085</v>
      </c>
      <c r="M24" s="1">
        <f>SUM(L24-L21)</f>
        <v>10765</v>
      </c>
      <c r="N24" s="39" t="s">
        <v>10</v>
      </c>
      <c r="O24" s="39"/>
      <c r="P24" s="38">
        <v>31130</v>
      </c>
      <c r="Q24" s="1">
        <f>SUM(P24-P21)</f>
        <v>1</v>
      </c>
      <c r="R24" s="38">
        <v>2375028</v>
      </c>
      <c r="S24" s="1">
        <f>SUM(R24-R21)</f>
        <v>264</v>
      </c>
    </row>
    <row r="25" spans="1:19" x14ac:dyDescent="0.25">
      <c r="A25" s="75"/>
      <c r="B25" s="20" t="s">
        <v>34</v>
      </c>
      <c r="C25" s="19" t="s">
        <v>58</v>
      </c>
      <c r="D25" s="38">
        <v>188224</v>
      </c>
      <c r="E25" s="1">
        <f>SUM(D25-D24)</f>
        <v>125</v>
      </c>
      <c r="F25" s="38">
        <v>89955</v>
      </c>
      <c r="G25" s="1">
        <f>SUM(F25-F24)</f>
        <v>31</v>
      </c>
      <c r="H25" s="39" t="s">
        <v>10</v>
      </c>
      <c r="I25" s="39"/>
      <c r="J25" s="38">
        <v>17651</v>
      </c>
      <c r="K25" s="1">
        <f>SUM(J25-J24)</f>
        <v>2</v>
      </c>
      <c r="L25" s="38">
        <v>5450021</v>
      </c>
      <c r="M25" s="1">
        <f>SUM(L25-L24)</f>
        <v>3936</v>
      </c>
      <c r="N25" s="39" t="s">
        <v>10</v>
      </c>
      <c r="O25" s="39"/>
      <c r="P25" s="38">
        <v>31134</v>
      </c>
      <c r="Q25" s="1">
        <f>SUM(P25-P24)</f>
        <v>4</v>
      </c>
      <c r="R25" s="38">
        <v>2375546</v>
      </c>
      <c r="S25" s="1">
        <f>SUM(R25-R24)</f>
        <v>518</v>
      </c>
    </row>
    <row r="26" spans="1:19" x14ac:dyDescent="0.25">
      <c r="A26" s="75"/>
      <c r="B26" s="20" t="s">
        <v>35</v>
      </c>
      <c r="C26" s="19" t="s">
        <v>59</v>
      </c>
      <c r="D26" s="38">
        <v>188365</v>
      </c>
      <c r="E26" s="1">
        <f>SUM(D26-D25)</f>
        <v>141</v>
      </c>
      <c r="F26" s="38">
        <v>89984</v>
      </c>
      <c r="G26" s="1">
        <f>SUM(F26-F25)</f>
        <v>29</v>
      </c>
      <c r="H26" s="39" t="s">
        <v>10</v>
      </c>
      <c r="I26" s="39"/>
      <c r="J26" s="38">
        <v>17653</v>
      </c>
      <c r="K26" s="1">
        <f>SUM(J26-J25)</f>
        <v>2</v>
      </c>
      <c r="L26" s="38">
        <v>5453577</v>
      </c>
      <c r="M26" s="1">
        <f>SUM(L26-L25)</f>
        <v>3556</v>
      </c>
      <c r="N26" s="39" t="s">
        <v>10</v>
      </c>
      <c r="O26" s="39"/>
      <c r="P26" s="38">
        <v>31147</v>
      </c>
      <c r="Q26" s="1">
        <f>SUM(P26-P25)</f>
        <v>13</v>
      </c>
      <c r="R26" s="38">
        <v>2376079</v>
      </c>
      <c r="S26" s="1">
        <f>SUM(R26-R25)</f>
        <v>533</v>
      </c>
    </row>
    <row r="27" spans="1:19" x14ac:dyDescent="0.25">
      <c r="A27" s="75"/>
      <c r="B27" s="20" t="s">
        <v>36</v>
      </c>
      <c r="C27" s="19" t="s">
        <v>64</v>
      </c>
      <c r="D27" s="38">
        <v>188491</v>
      </c>
      <c r="E27" s="1">
        <f>SUM(D27-D26)</f>
        <v>126</v>
      </c>
      <c r="F27" s="38">
        <v>90012</v>
      </c>
      <c r="G27" s="1">
        <f>SUM(F27-F26)</f>
        <v>28</v>
      </c>
      <c r="H27" s="39" t="s">
        <v>10</v>
      </c>
      <c r="I27" s="39"/>
      <c r="J27" s="38">
        <v>17655</v>
      </c>
      <c r="K27" s="1">
        <f>SUM(J27-J26)</f>
        <v>2</v>
      </c>
      <c r="L27" s="38">
        <v>5457830</v>
      </c>
      <c r="M27" s="1">
        <f>SUM(L27-L26)</f>
        <v>4253</v>
      </c>
      <c r="N27" s="39" t="s">
        <v>10</v>
      </c>
      <c r="O27" s="39"/>
      <c r="P27" s="38">
        <v>31155</v>
      </c>
      <c r="Q27" s="1">
        <f>SUM(P27-P26)</f>
        <v>8</v>
      </c>
      <c r="R27" s="38">
        <v>2376723</v>
      </c>
      <c r="S27" s="1">
        <f>SUM(R27-R26)</f>
        <v>644</v>
      </c>
    </row>
    <row r="28" spans="1:19" x14ac:dyDescent="0.25">
      <c r="A28" s="75"/>
      <c r="B28" s="20" t="s">
        <v>37</v>
      </c>
      <c r="C28" s="19" t="s">
        <v>60</v>
      </c>
      <c r="D28" s="38">
        <v>188625</v>
      </c>
      <c r="E28" s="1">
        <f>SUM(D28-D27)</f>
        <v>134</v>
      </c>
      <c r="F28" s="40">
        <v>90040</v>
      </c>
      <c r="G28" s="1">
        <f>SUM(F28-F27)</f>
        <v>28</v>
      </c>
      <c r="H28" s="38" t="s">
        <v>10</v>
      </c>
      <c r="I28" s="38"/>
      <c r="J28" s="38">
        <v>17659</v>
      </c>
      <c r="K28" s="1">
        <f>SUM(J28-J27)</f>
        <v>4</v>
      </c>
      <c r="L28" s="38">
        <v>5462236</v>
      </c>
      <c r="M28" s="1">
        <f>SUM(L28-L27)</f>
        <v>4406</v>
      </c>
      <c r="N28" s="38" t="s">
        <v>10</v>
      </c>
      <c r="O28" s="38"/>
      <c r="P28" s="38">
        <v>31159</v>
      </c>
      <c r="Q28" s="1">
        <f>SUM(P28-P27)</f>
        <v>4</v>
      </c>
      <c r="R28" s="38">
        <v>2377016</v>
      </c>
      <c r="S28" s="1">
        <f>SUM(R28-R27)</f>
        <v>293</v>
      </c>
    </row>
    <row r="29" spans="1:19" x14ac:dyDescent="0.25">
      <c r="A29" s="75"/>
      <c r="B29" s="20" t="s">
        <v>51</v>
      </c>
      <c r="C29" s="32"/>
      <c r="D29" s="76" t="s">
        <v>50</v>
      </c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</row>
    <row r="30" spans="1:19" x14ac:dyDescent="0.25">
      <c r="A30" s="75"/>
      <c r="B30" s="20" t="s">
        <v>52</v>
      </c>
      <c r="C30" s="33"/>
      <c r="D30" s="78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</row>
    <row r="31" spans="1:19" x14ac:dyDescent="0.25">
      <c r="A31" s="75"/>
      <c r="B31" s="20" t="s">
        <v>38</v>
      </c>
      <c r="C31" s="20" t="s">
        <v>63</v>
      </c>
      <c r="D31" s="38">
        <v>188909</v>
      </c>
      <c r="E31" s="1">
        <f>SUM(D31-D28)</f>
        <v>284</v>
      </c>
      <c r="F31" s="38">
        <v>90063</v>
      </c>
      <c r="G31" s="1">
        <f>SUM(F31-F28)</f>
        <v>23</v>
      </c>
      <c r="H31" s="38" t="s">
        <v>10</v>
      </c>
      <c r="I31" s="38">
        <v>5447.51</v>
      </c>
      <c r="J31" s="38">
        <v>17668</v>
      </c>
      <c r="K31" s="1">
        <f>SUM(J31-J28)</f>
        <v>9</v>
      </c>
      <c r="L31" s="38">
        <v>5473899</v>
      </c>
      <c r="M31" s="1">
        <f>SUM(L31-L28)</f>
        <v>11663</v>
      </c>
      <c r="N31" s="38" t="s">
        <v>10</v>
      </c>
      <c r="O31" s="38">
        <v>21200.560000000001</v>
      </c>
      <c r="P31" s="38">
        <v>31162</v>
      </c>
      <c r="Q31" s="1">
        <f>SUM(P31-P28)</f>
        <v>3</v>
      </c>
      <c r="R31" s="38">
        <v>2377576</v>
      </c>
      <c r="S31" s="1">
        <f>SUM(R31-R28)</f>
        <v>560</v>
      </c>
    </row>
    <row r="32" spans="1:19" x14ac:dyDescent="0.25">
      <c r="A32" s="75"/>
      <c r="B32" s="20" t="s">
        <v>39</v>
      </c>
      <c r="C32" s="20" t="s">
        <v>58</v>
      </c>
      <c r="D32" s="38">
        <v>189031</v>
      </c>
      <c r="E32" s="1">
        <f>SUM(D32-D31)</f>
        <v>122</v>
      </c>
      <c r="F32" s="38">
        <v>90091</v>
      </c>
      <c r="G32" s="1">
        <f>SUM(F32-F31)</f>
        <v>28</v>
      </c>
      <c r="H32" s="1" t="s">
        <v>10</v>
      </c>
      <c r="I32" s="1"/>
      <c r="J32" s="1">
        <v>17670</v>
      </c>
      <c r="K32" s="1">
        <f>SUM(J32-J31)</f>
        <v>2</v>
      </c>
      <c r="L32" s="38">
        <v>5477507</v>
      </c>
      <c r="M32" s="1">
        <f>SUM(L32-L31)</f>
        <v>3608</v>
      </c>
      <c r="N32" s="1" t="s">
        <v>10</v>
      </c>
      <c r="O32" s="1"/>
      <c r="P32" s="38">
        <v>31164</v>
      </c>
      <c r="Q32" s="1">
        <f>SUM(P32-P31)</f>
        <v>2</v>
      </c>
      <c r="R32" s="38">
        <v>2378045</v>
      </c>
      <c r="S32" s="1">
        <f>SUM(R32-R31)</f>
        <v>469</v>
      </c>
    </row>
    <row r="33" spans="1:20" x14ac:dyDescent="0.25">
      <c r="A33" s="75"/>
      <c r="B33" s="20" t="s">
        <v>40</v>
      </c>
      <c r="C33" s="20" t="s">
        <v>59</v>
      </c>
      <c r="D33" s="38">
        <v>189174</v>
      </c>
      <c r="E33" s="1">
        <f>SUM(D33-D32)</f>
        <v>143</v>
      </c>
      <c r="F33" s="38">
        <v>90125</v>
      </c>
      <c r="G33" s="1">
        <f>SUM(F33-F32)</f>
        <v>34</v>
      </c>
      <c r="H33" s="1" t="s">
        <v>10</v>
      </c>
      <c r="I33" s="1"/>
      <c r="J33" s="1">
        <v>17674</v>
      </c>
      <c r="K33" s="1">
        <f>SUM(J33-J32)</f>
        <v>4</v>
      </c>
      <c r="L33" s="38">
        <v>5480297</v>
      </c>
      <c r="M33" s="1">
        <f>SUM(L33-L32)</f>
        <v>2790</v>
      </c>
      <c r="N33" s="1" t="s">
        <v>10</v>
      </c>
      <c r="O33" s="1"/>
      <c r="P33" s="38">
        <v>31168</v>
      </c>
      <c r="Q33" s="1">
        <f>SUM(P33-P32)</f>
        <v>4</v>
      </c>
      <c r="R33" s="38">
        <v>2378580</v>
      </c>
      <c r="S33" s="1">
        <f>SUM(R33-R32)</f>
        <v>535</v>
      </c>
    </row>
    <row r="34" spans="1:20" x14ac:dyDescent="0.25">
      <c r="A34" s="75"/>
      <c r="B34" s="20" t="s">
        <v>41</v>
      </c>
      <c r="C34" s="20"/>
      <c r="D34" s="18"/>
      <c r="E34" s="18">
        <f>SUM(E3:E33)</f>
        <v>3387</v>
      </c>
      <c r="F34" s="14"/>
      <c r="G34" s="18">
        <f>SUM(G3:G33)</f>
        <v>485</v>
      </c>
      <c r="H34" s="18" t="s">
        <v>57</v>
      </c>
      <c r="I34" s="18">
        <f>SUM(I31,I20,I9)</f>
        <v>15909.56</v>
      </c>
      <c r="J34" s="14"/>
      <c r="K34" s="18">
        <f>SUM(K3:K33)</f>
        <v>51</v>
      </c>
      <c r="L34" s="18"/>
      <c r="M34" s="18">
        <f>SUM(M3:M33)</f>
        <v>117906</v>
      </c>
      <c r="N34" s="18">
        <v>66066</v>
      </c>
      <c r="O34" s="18">
        <f>SUM(O31,O9)</f>
        <v>36511.279999999999</v>
      </c>
      <c r="P34" s="14"/>
      <c r="Q34" s="18">
        <f>SUM(Q3:Q33)</f>
        <v>85</v>
      </c>
      <c r="R34" s="18"/>
      <c r="S34" s="18">
        <f>SUM(S3:S33)</f>
        <v>8063</v>
      </c>
    </row>
    <row r="35" spans="1:20" x14ac:dyDescent="0.25">
      <c r="A35" s="66" t="s">
        <v>70</v>
      </c>
      <c r="B35" s="66"/>
      <c r="C35" s="66"/>
      <c r="D35" s="37">
        <v>29</v>
      </c>
      <c r="E35" s="68" t="s">
        <v>71</v>
      </c>
      <c r="F35" s="68"/>
      <c r="G35" s="68"/>
      <c r="H35">
        <v>34</v>
      </c>
      <c r="N35" t="s">
        <v>80</v>
      </c>
    </row>
    <row r="36" spans="1:20" ht="17.25" x14ac:dyDescent="0.25">
      <c r="A36" s="67" t="s">
        <v>66</v>
      </c>
      <c r="B36" s="67"/>
      <c r="C36" s="67"/>
      <c r="D36" s="35">
        <f>SUM(E34)/D35</f>
        <v>116.79310344827586</v>
      </c>
      <c r="E36" t="s">
        <v>72</v>
      </c>
      <c r="G36" s="34">
        <f>SUM(G34)/D35</f>
        <v>16.724137931034484</v>
      </c>
      <c r="H36" s="36" t="s">
        <v>73</v>
      </c>
      <c r="I36" s="45">
        <f>SUM(I31,I20,I9)/34</f>
        <v>467.92823529411766</v>
      </c>
      <c r="J36" t="s">
        <v>81</v>
      </c>
      <c r="K36" s="34">
        <f>SUM(K34/D35)</f>
        <v>1.7586206896551724</v>
      </c>
      <c r="L36" s="36" t="s">
        <v>73</v>
      </c>
      <c r="M36" s="44">
        <f>SUM(M34)/34</f>
        <v>3467.8235294117649</v>
      </c>
      <c r="N36" s="36" t="s">
        <v>73</v>
      </c>
      <c r="O36" s="45">
        <f>SUM(O31,O9)/14</f>
        <v>2607.9485714285715</v>
      </c>
      <c r="P36" t="s">
        <v>72</v>
      </c>
      <c r="Q36" s="34">
        <f>SUM(Q34/D35)</f>
        <v>2.9310344827586206</v>
      </c>
      <c r="R36" s="36" t="s">
        <v>73</v>
      </c>
      <c r="S36" s="34">
        <f>SUM(S34)/D35</f>
        <v>278.0344827586207</v>
      </c>
      <c r="T36" t="s">
        <v>73</v>
      </c>
    </row>
    <row r="37" spans="1:20" x14ac:dyDescent="0.25">
      <c r="G37" s="35"/>
      <c r="I37" s="43"/>
      <c r="M37" s="44">
        <f>SUM((M36*1.02264)*40)/3.6</f>
        <v>39403.72282352941</v>
      </c>
      <c r="N37" t="s">
        <v>81</v>
      </c>
      <c r="S37" s="44">
        <f>SUM((S36*1.02264)*40)/3.6</f>
        <v>3159.2131494252872</v>
      </c>
      <c r="T37" t="s">
        <v>72</v>
      </c>
    </row>
  </sheetData>
  <mergeCells count="14">
    <mergeCell ref="A35:C35"/>
    <mergeCell ref="A36:C36"/>
    <mergeCell ref="E35:G35"/>
    <mergeCell ref="N1:S1"/>
    <mergeCell ref="H1:M1"/>
    <mergeCell ref="A3:A34"/>
    <mergeCell ref="D7:S8"/>
    <mergeCell ref="D14:S15"/>
    <mergeCell ref="D18:S19"/>
    <mergeCell ref="B18:B19"/>
    <mergeCell ref="D22:S23"/>
    <mergeCell ref="D29:S30"/>
    <mergeCell ref="A1:C2"/>
    <mergeCell ref="D1:G1"/>
  </mergeCells>
  <phoneticPr fontId="1" type="noConversion"/>
  <pageMargins left="0.7" right="0.7" top="0.75" bottom="0.75" header="0.3" footer="0.3"/>
  <pageSetup paperSize="8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6C42F-30F5-4B8D-A4FA-F30E1B61F6D9}">
  <sheetPr>
    <pageSetUpPr fitToPage="1"/>
  </sheetPr>
  <dimension ref="A1:K19"/>
  <sheetViews>
    <sheetView tabSelected="1" workbookViewId="0">
      <selection activeCell="L10" sqref="L10"/>
    </sheetView>
  </sheetViews>
  <sheetFormatPr defaultRowHeight="15" x14ac:dyDescent="0.25"/>
  <cols>
    <col min="1" max="1" width="21.28515625" customWidth="1"/>
    <col min="2" max="6" width="16.140625" customWidth="1"/>
    <col min="7" max="7" width="7.7109375" customWidth="1"/>
    <col min="8" max="10" width="16.140625" customWidth="1"/>
    <col min="11" max="11" width="7.140625" customWidth="1"/>
    <col min="16" max="16" width="11" bestFit="1" customWidth="1"/>
  </cols>
  <sheetData>
    <row r="1" spans="1:11" x14ac:dyDescent="0.25">
      <c r="A1" s="89" t="s">
        <v>83</v>
      </c>
      <c r="B1" s="89"/>
      <c r="C1" s="89"/>
      <c r="D1" s="89"/>
      <c r="E1" s="89"/>
      <c r="F1" s="89"/>
      <c r="G1" s="89"/>
      <c r="H1" s="89"/>
      <c r="I1" s="89"/>
      <c r="J1" s="89"/>
      <c r="K1" s="52"/>
    </row>
    <row r="2" spans="1:11" ht="22.5" customHeight="1" x14ac:dyDescent="0.25">
      <c r="A2" s="90"/>
      <c r="B2" s="91" t="s">
        <v>0</v>
      </c>
      <c r="C2" s="91"/>
      <c r="D2" s="72" t="s">
        <v>1</v>
      </c>
      <c r="E2" s="73"/>
      <c r="F2" s="73"/>
      <c r="G2" s="74"/>
      <c r="H2" s="69" t="s">
        <v>2</v>
      </c>
      <c r="I2" s="70"/>
      <c r="J2" s="70"/>
      <c r="K2" s="71"/>
    </row>
    <row r="3" spans="1:11" ht="21" customHeight="1" x14ac:dyDescent="0.25">
      <c r="A3" s="90"/>
      <c r="B3" s="8" t="s">
        <v>8</v>
      </c>
      <c r="C3" s="8" t="s">
        <v>9</v>
      </c>
      <c r="D3" s="9" t="s">
        <v>8</v>
      </c>
      <c r="E3" s="9" t="s">
        <v>9</v>
      </c>
      <c r="F3" s="72" t="s">
        <v>84</v>
      </c>
      <c r="G3" s="74"/>
      <c r="H3" s="10" t="s">
        <v>8</v>
      </c>
      <c r="I3" s="10" t="s">
        <v>9</v>
      </c>
      <c r="J3" s="69" t="s">
        <v>84</v>
      </c>
      <c r="K3" s="71"/>
    </row>
    <row r="4" spans="1:11" ht="36" hidden="1" customHeight="1" x14ac:dyDescent="0.25">
      <c r="A4" s="1" t="s">
        <v>3</v>
      </c>
      <c r="B4" s="1">
        <v>185787</v>
      </c>
      <c r="C4" s="3">
        <v>89640</v>
      </c>
      <c r="D4" s="4"/>
      <c r="E4" s="1">
        <v>17623</v>
      </c>
      <c r="F4" s="1">
        <v>5362391</v>
      </c>
      <c r="G4" s="1"/>
      <c r="H4" s="4"/>
      <c r="I4" s="1">
        <v>31083</v>
      </c>
      <c r="J4" s="1">
        <v>2370517</v>
      </c>
      <c r="K4" s="1">
        <v>2370517</v>
      </c>
    </row>
    <row r="5" spans="1:11" ht="36" hidden="1" customHeight="1" x14ac:dyDescent="0.25">
      <c r="A5" s="1" t="s">
        <v>4</v>
      </c>
      <c r="B5" s="1">
        <v>185928</v>
      </c>
      <c r="C5" s="1">
        <v>89671</v>
      </c>
      <c r="D5" s="1"/>
      <c r="E5" s="1">
        <v>17623</v>
      </c>
      <c r="F5" s="1">
        <v>5365507</v>
      </c>
      <c r="G5" s="1"/>
      <c r="H5" s="1"/>
      <c r="I5" s="1">
        <v>31089</v>
      </c>
      <c r="J5" s="1">
        <v>2370945</v>
      </c>
      <c r="K5" s="1">
        <v>2370945</v>
      </c>
    </row>
    <row r="6" spans="1:11" ht="36" hidden="1" customHeight="1" x14ac:dyDescent="0.25">
      <c r="A6" s="1" t="s">
        <v>5</v>
      </c>
      <c r="B6" s="1">
        <v>186042</v>
      </c>
      <c r="C6" s="2">
        <v>89699</v>
      </c>
      <c r="D6" s="1"/>
      <c r="E6" s="1">
        <v>17623</v>
      </c>
      <c r="F6" s="1">
        <v>5369588</v>
      </c>
      <c r="G6" s="1"/>
      <c r="H6" s="1"/>
      <c r="I6" s="1">
        <v>31090</v>
      </c>
      <c r="J6" s="1">
        <v>2371317</v>
      </c>
      <c r="K6" s="1">
        <v>2371317</v>
      </c>
    </row>
    <row r="7" spans="1:11" ht="36" hidden="1" customHeight="1" x14ac:dyDescent="0.25">
      <c r="A7" s="1" t="s">
        <v>6</v>
      </c>
      <c r="B7" s="1">
        <v>186181</v>
      </c>
      <c r="C7" s="1">
        <v>89734</v>
      </c>
      <c r="D7" s="1"/>
      <c r="E7" s="1">
        <v>17623</v>
      </c>
      <c r="F7" s="1">
        <v>5372775</v>
      </c>
      <c r="G7" s="1"/>
      <c r="H7" s="1"/>
      <c r="I7" s="1">
        <v>31092</v>
      </c>
      <c r="J7" s="1">
        <v>2371947</v>
      </c>
      <c r="K7" s="1">
        <v>2371947</v>
      </c>
    </row>
    <row r="8" spans="1:11" ht="36" hidden="1" customHeight="1" x14ac:dyDescent="0.25">
      <c r="A8" s="1" t="s">
        <v>7</v>
      </c>
      <c r="B8" s="1">
        <v>186388</v>
      </c>
      <c r="C8" s="1">
        <v>89752</v>
      </c>
      <c r="D8" s="1"/>
      <c r="E8" s="1">
        <v>17625</v>
      </c>
      <c r="F8" s="1">
        <v>5382136</v>
      </c>
      <c r="G8" s="1"/>
      <c r="H8" s="1"/>
      <c r="I8" s="1">
        <v>31098</v>
      </c>
      <c r="J8" s="1">
        <v>2372253</v>
      </c>
      <c r="K8" s="1">
        <v>2372253</v>
      </c>
    </row>
    <row r="9" spans="1:11" ht="18.75" customHeight="1" x14ac:dyDescent="0.25">
      <c r="A9" s="92" t="s">
        <v>22</v>
      </c>
      <c r="B9" s="93"/>
      <c r="C9" s="93"/>
      <c r="D9" s="93"/>
      <c r="E9" s="93"/>
      <c r="F9" s="93"/>
      <c r="G9" s="93"/>
      <c r="H9" s="93"/>
      <c r="I9" s="93"/>
      <c r="J9" s="93"/>
      <c r="K9" s="93"/>
    </row>
    <row r="10" spans="1:11" ht="23.25" customHeight="1" x14ac:dyDescent="0.25">
      <c r="A10" s="94" t="s">
        <v>85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</row>
    <row r="11" spans="1:11" ht="23.25" customHeight="1" x14ac:dyDescent="0.25">
      <c r="A11" s="19" t="s">
        <v>17</v>
      </c>
      <c r="B11" s="5">
        <v>185787</v>
      </c>
      <c r="C11" s="6">
        <v>89640</v>
      </c>
      <c r="D11" s="7">
        <v>0</v>
      </c>
      <c r="E11" s="5">
        <v>17623</v>
      </c>
      <c r="F11" s="53">
        <v>5362391</v>
      </c>
      <c r="G11" s="54" t="s">
        <v>73</v>
      </c>
      <c r="H11" s="7">
        <v>0</v>
      </c>
      <c r="I11" s="5">
        <v>31083</v>
      </c>
      <c r="J11" s="53">
        <v>2370517</v>
      </c>
      <c r="K11" s="54" t="s">
        <v>73</v>
      </c>
    </row>
    <row r="12" spans="1:11" ht="23.25" customHeight="1" x14ac:dyDescent="0.25">
      <c r="A12" s="19" t="s">
        <v>18</v>
      </c>
      <c r="B12" s="5">
        <v>189174</v>
      </c>
      <c r="C12" s="6">
        <v>90125</v>
      </c>
      <c r="D12" s="26">
        <v>15909.56</v>
      </c>
      <c r="E12" s="5">
        <v>17674</v>
      </c>
      <c r="F12" s="53">
        <v>5480297</v>
      </c>
      <c r="G12" s="54" t="s">
        <v>73</v>
      </c>
      <c r="H12" s="26">
        <v>36511.279999999999</v>
      </c>
      <c r="I12" s="5">
        <v>31168</v>
      </c>
      <c r="J12" s="53">
        <v>2378580</v>
      </c>
      <c r="K12" s="54" t="s">
        <v>73</v>
      </c>
    </row>
    <row r="13" spans="1:11" ht="23.25" customHeight="1" x14ac:dyDescent="0.25">
      <c r="A13" s="19" t="s">
        <v>19</v>
      </c>
      <c r="B13" s="48">
        <f>SUM('Daily Data'!E34)</f>
        <v>3387</v>
      </c>
      <c r="C13" s="49">
        <v>485</v>
      </c>
      <c r="D13" s="50">
        <v>15909.56</v>
      </c>
      <c r="E13" s="42">
        <v>51</v>
      </c>
      <c r="F13" s="55">
        <v>117906</v>
      </c>
      <c r="G13" s="54" t="s">
        <v>73</v>
      </c>
      <c r="H13" s="50">
        <f>SUM('Daily Data'!O34)</f>
        <v>36511.279999999999</v>
      </c>
      <c r="I13" s="42">
        <v>85</v>
      </c>
      <c r="J13" s="55">
        <v>8063</v>
      </c>
      <c r="K13" s="54" t="s">
        <v>73</v>
      </c>
    </row>
    <row r="14" spans="1:11" ht="23.25" customHeight="1" x14ac:dyDescent="0.25">
      <c r="A14" s="19" t="s">
        <v>87</v>
      </c>
      <c r="B14" s="48">
        <f>SUM('Daily Data'!D35)</f>
        <v>29</v>
      </c>
      <c r="C14" s="49">
        <f>SUM('Daily Data'!D35)</f>
        <v>29</v>
      </c>
      <c r="D14" s="51">
        <f>SUM('Daily Data'!H35)</f>
        <v>34</v>
      </c>
      <c r="E14" s="42">
        <v>29</v>
      </c>
      <c r="F14" s="51">
        <v>34</v>
      </c>
      <c r="G14" s="54" t="s">
        <v>73</v>
      </c>
      <c r="H14" s="51">
        <v>14</v>
      </c>
      <c r="I14" s="49">
        <v>29</v>
      </c>
      <c r="J14" s="58">
        <v>29</v>
      </c>
      <c r="K14" s="54" t="s">
        <v>73</v>
      </c>
    </row>
    <row r="15" spans="1:11" ht="23.25" customHeight="1" x14ac:dyDescent="0.25">
      <c r="A15" s="19" t="s">
        <v>21</v>
      </c>
      <c r="B15" s="46">
        <f>SUM('Daily Data'!D36)</f>
        <v>116.79310344827586</v>
      </c>
      <c r="C15" s="46">
        <f>SUM('Daily Data'!G36)</f>
        <v>16.724137931034484</v>
      </c>
      <c r="D15" s="47">
        <f>SUM('Daily Data'!I36)</f>
        <v>467.92823529411766</v>
      </c>
      <c r="E15" s="46">
        <f>SUM('Daily Data'!K36)</f>
        <v>1.7586206896551724</v>
      </c>
      <c r="F15" s="56">
        <f>SUM('Daily Data'!M37)</f>
        <v>39403.72282352941</v>
      </c>
      <c r="G15" s="57" t="s">
        <v>72</v>
      </c>
      <c r="H15" s="27">
        <f>SUM('Daily Data'!O36)</f>
        <v>2607.9485714285715</v>
      </c>
      <c r="I15" s="1">
        <v>2.29</v>
      </c>
      <c r="J15" s="60">
        <f>SUM('Daily Data'!S37)</f>
        <v>3159.2131494252872</v>
      </c>
      <c r="K15" s="57" t="s">
        <v>72</v>
      </c>
    </row>
    <row r="16" spans="1:11" ht="23.25" customHeight="1" x14ac:dyDescent="0.25">
      <c r="A16" s="19" t="s">
        <v>20</v>
      </c>
      <c r="B16" s="62">
        <f>SUM(B15*7)</f>
        <v>817.55172413793105</v>
      </c>
      <c r="C16" s="62">
        <f t="shared" ref="C16:I16" si="0">SUM(C15*7)</f>
        <v>117.06896551724139</v>
      </c>
      <c r="D16" s="62">
        <f t="shared" si="0"/>
        <v>3275.4976470588235</v>
      </c>
      <c r="E16" s="62">
        <f t="shared" si="0"/>
        <v>12.310344827586206</v>
      </c>
      <c r="F16" s="63">
        <f>SUM(F15*7)</f>
        <v>275826.05976470589</v>
      </c>
      <c r="G16" s="64" t="s">
        <v>72</v>
      </c>
      <c r="H16" s="62">
        <f t="shared" si="0"/>
        <v>18255.64</v>
      </c>
      <c r="I16" s="62">
        <f t="shared" si="0"/>
        <v>16.03</v>
      </c>
      <c r="J16" s="63">
        <f>SUM(J15*7)</f>
        <v>22114.492045977011</v>
      </c>
      <c r="K16" s="64" t="s">
        <v>81</v>
      </c>
    </row>
    <row r="17" spans="1:11" ht="23.25" customHeight="1" x14ac:dyDescent="0.25">
      <c r="A17" s="19" t="s">
        <v>82</v>
      </c>
      <c r="B17" s="46">
        <f>SUM(B16*52)</f>
        <v>42512.689655172413</v>
      </c>
      <c r="C17" s="46">
        <f t="shared" ref="C17:I17" si="1">SUM(C16*52)</f>
        <v>6087.5862068965525</v>
      </c>
      <c r="D17" s="46">
        <f t="shared" si="1"/>
        <v>170325.87764705883</v>
      </c>
      <c r="E17" s="46">
        <f t="shared" si="1"/>
        <v>640.13793103448279</v>
      </c>
      <c r="F17" s="60">
        <f>SUM(F16*26)</f>
        <v>7171477.553882353</v>
      </c>
      <c r="G17" s="61" t="s">
        <v>81</v>
      </c>
      <c r="H17" s="1">
        <f t="shared" si="1"/>
        <v>949293.28</v>
      </c>
      <c r="I17" s="1">
        <f t="shared" si="1"/>
        <v>833.56000000000006</v>
      </c>
      <c r="J17" s="59">
        <f>SUM(J16*52)</f>
        <v>1149953.5863908045</v>
      </c>
      <c r="K17" s="61" t="s">
        <v>81</v>
      </c>
    </row>
    <row r="18" spans="1:11" x14ac:dyDescent="0.25">
      <c r="B18" s="12"/>
      <c r="C18" s="11"/>
      <c r="D18" s="12"/>
      <c r="E18" s="11"/>
      <c r="F18" s="12"/>
      <c r="G18" s="12"/>
      <c r="H18" s="12"/>
      <c r="J18" s="12"/>
      <c r="K18" s="12"/>
    </row>
    <row r="19" spans="1:11" ht="36" customHeight="1" x14ac:dyDescent="0.25">
      <c r="A19" s="65" t="s">
        <v>86</v>
      </c>
      <c r="B19" s="62">
        <f>SUM(B17*36.1)/100</f>
        <v>15347.080965517242</v>
      </c>
      <c r="C19" s="46">
        <f>SUM(C17*1.97)</f>
        <v>11992.544827586209</v>
      </c>
      <c r="D19" s="62">
        <f>SUM(D17*36.1)/100</f>
        <v>61487.641830588247</v>
      </c>
      <c r="E19" s="46">
        <f>SUM(E17*1.97)</f>
        <v>1261.0717241379311</v>
      </c>
      <c r="F19" s="62">
        <f>SUM(F17*10.2)/100</f>
        <v>731490.7104959999</v>
      </c>
      <c r="G19" s="61"/>
      <c r="H19" s="62">
        <f>SUM(H17*36.1)/100</f>
        <v>342694.87407999998</v>
      </c>
      <c r="I19" s="46">
        <f>SUM(I17*1.97)</f>
        <v>1642.1132</v>
      </c>
      <c r="J19" s="62">
        <f>SUM(J17*0.11)</f>
        <v>126494.89450298849</v>
      </c>
      <c r="K19" s="61"/>
    </row>
  </sheetData>
  <mergeCells count="9">
    <mergeCell ref="A1:J1"/>
    <mergeCell ref="A2:A3"/>
    <mergeCell ref="B2:C2"/>
    <mergeCell ref="A9:K9"/>
    <mergeCell ref="A10:K10"/>
    <mergeCell ref="D2:G2"/>
    <mergeCell ref="H2:K2"/>
    <mergeCell ref="F3:G3"/>
    <mergeCell ref="J3:K3"/>
  </mergeCells>
  <pageMargins left="0.7" right="0.7" top="0.75" bottom="0.75" header="0.3" footer="0.3"/>
  <pageSetup paperSize="8" scale="8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081CD-7F9F-4420-9E27-CB4F0A6183AA}">
  <dimension ref="A1:F8"/>
  <sheetViews>
    <sheetView workbookViewId="0">
      <selection activeCell="B4" sqref="B4"/>
    </sheetView>
  </sheetViews>
  <sheetFormatPr defaultRowHeight="15" x14ac:dyDescent="0.25"/>
  <cols>
    <col min="1" max="1" width="21.5703125" customWidth="1"/>
    <col min="2" max="3" width="33.140625" style="13" customWidth="1"/>
    <col min="4" max="5" width="33.140625" customWidth="1"/>
    <col min="6" max="6" width="29.140625" bestFit="1" customWidth="1"/>
  </cols>
  <sheetData>
    <row r="1" spans="1:6" s="13" customFormat="1" ht="38.25" customHeight="1" x14ac:dyDescent="0.25">
      <c r="A1" s="1"/>
      <c r="B1" s="19" t="s">
        <v>27</v>
      </c>
      <c r="C1" s="19" t="s">
        <v>23</v>
      </c>
      <c r="D1" s="19" t="s">
        <v>28</v>
      </c>
      <c r="E1" s="19" t="s">
        <v>29</v>
      </c>
      <c r="F1" s="19" t="s">
        <v>54</v>
      </c>
    </row>
    <row r="2" spans="1:6" s="13" customFormat="1" ht="38.25" customHeight="1" x14ac:dyDescent="0.25">
      <c r="A2" s="19" t="s">
        <v>24</v>
      </c>
      <c r="B2" s="21">
        <v>2568.5700000000002</v>
      </c>
      <c r="C2" s="21">
        <v>7893.48</v>
      </c>
      <c r="D2" s="21">
        <v>5447.51</v>
      </c>
      <c r="E2" s="21">
        <f>SUM(B2:D2)</f>
        <v>15909.56</v>
      </c>
      <c r="F2" s="22">
        <f>SUM(E2/37)</f>
        <v>429.98810810810812</v>
      </c>
    </row>
    <row r="3" spans="1:6" s="13" customFormat="1" ht="38.25" customHeight="1" x14ac:dyDescent="0.25">
      <c r="A3" s="19" t="s">
        <v>25</v>
      </c>
      <c r="B3" s="21">
        <v>15310.72</v>
      </c>
      <c r="C3" s="21">
        <v>29555</v>
      </c>
      <c r="D3" s="21">
        <v>21200.560000000001</v>
      </c>
      <c r="E3" s="21">
        <f>SUM(B3:D3)</f>
        <v>66066.28</v>
      </c>
      <c r="F3" s="22">
        <f>SUM(E3/37)</f>
        <v>1785.575135135135</v>
      </c>
    </row>
    <row r="4" spans="1:6" s="13" customFormat="1" ht="38.25" customHeight="1" x14ac:dyDescent="0.25">
      <c r="A4" s="19" t="s">
        <v>26</v>
      </c>
      <c r="B4" s="21">
        <v>3317.01</v>
      </c>
      <c r="C4" s="21">
        <v>4210.1499999999996</v>
      </c>
      <c r="D4" s="1">
        <v>3696.66</v>
      </c>
      <c r="E4" s="21">
        <f>SUM(B4:D4)</f>
        <v>11223.82</v>
      </c>
      <c r="F4" s="22">
        <f>SUM(E4/37)</f>
        <v>303.34648648648647</v>
      </c>
    </row>
    <row r="5" spans="1:6" s="13" customFormat="1" ht="38.25" customHeight="1" x14ac:dyDescent="0.25">
      <c r="A5" s="19" t="s">
        <v>30</v>
      </c>
      <c r="B5" s="21">
        <v>21196.3</v>
      </c>
      <c r="C5" s="21">
        <v>41658.629999999997</v>
      </c>
      <c r="D5" s="21">
        <f>SUM(D2:D4)</f>
        <v>30344.73</v>
      </c>
      <c r="E5" s="21">
        <f>SUM(B5:D5)</f>
        <v>93199.659999999989</v>
      </c>
      <c r="F5" s="22">
        <f>SUM(E5/37)</f>
        <v>2518.9097297297294</v>
      </c>
    </row>
    <row r="7" spans="1:6" x14ac:dyDescent="0.25">
      <c r="A7" s="96" t="s">
        <v>55</v>
      </c>
      <c r="B7" s="96"/>
    </row>
    <row r="8" spans="1:6" x14ac:dyDescent="0.25">
      <c r="A8" s="96"/>
      <c r="B8" s="96"/>
    </row>
  </sheetData>
  <mergeCells count="1">
    <mergeCell ref="A7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 Data</vt:lpstr>
      <vt:lpstr>Average Data</vt:lpstr>
      <vt:lpstr>Electric Usage from Meters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Gregory, Daniel</dc:creator>
  <cp:lastModifiedBy>Weston, Lian</cp:lastModifiedBy>
  <cp:lastPrinted>2025-01-09T14:33:59Z</cp:lastPrinted>
  <dcterms:created xsi:type="dcterms:W3CDTF">2024-12-10T10:58:54Z</dcterms:created>
  <dcterms:modified xsi:type="dcterms:W3CDTF">2025-01-23T11:01:09Z</dcterms:modified>
</cp:coreProperties>
</file>